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defaultThemeVersion="124226"/>
  <mc:AlternateContent xmlns:mc="http://schemas.openxmlformats.org/markup-compatibility/2006">
    <mc:Choice Requires="x15">
      <x15ac:absPath xmlns:x15ac="http://schemas.microsoft.com/office/spreadsheetml/2010/11/ac" url="C:\Users\DanaL\Documents\Vodní hospodářství\Obce, Města  a subjekty - odborný zástupce\Obec Kopřivná\Porovnání položek a kalkulace\2025\"/>
    </mc:Choice>
  </mc:AlternateContent>
  <xr:revisionPtr revIDLastSave="0" documentId="13_ncr:1_{B6A7A512-EA3C-41E7-AFAC-6EDE5E71EF21}"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3" i="21" l="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E43" i="11"/>
  <c r="F33" i="11"/>
  <c r="E33" i="11"/>
  <c r="D28" i="11"/>
  <c r="E145" i="11" s="1"/>
  <c r="D27" i="11"/>
  <c r="D26" i="11"/>
  <c r="D25" i="11"/>
  <c r="D24" i="11"/>
  <c r="D23" i="11"/>
  <c r="F190" i="20"/>
  <c r="E190" i="20"/>
  <c r="E186" i="20"/>
  <c r="E192" i="20" s="1"/>
  <c r="F184" i="20"/>
  <c r="F186" i="20" s="1"/>
  <c r="E184" i="20"/>
  <c r="F171" i="20"/>
  <c r="E171" i="20"/>
  <c r="F168" i="20"/>
  <c r="E168" i="20"/>
  <c r="F163" i="20"/>
  <c r="F164" i="20" s="1"/>
  <c r="F170" i="20" s="1"/>
  <c r="E163" i="20"/>
  <c r="F159" i="20"/>
  <c r="E159" i="20"/>
  <c r="F156" i="20"/>
  <c r="E156" i="20"/>
  <c r="F138" i="20"/>
  <c r="E138" i="20"/>
  <c r="E141" i="20" s="1"/>
  <c r="B130" i="20"/>
  <c r="F124" i="20"/>
  <c r="E124" i="20"/>
  <c r="F122" i="20"/>
  <c r="F193" i="20" s="1"/>
  <c r="E122" i="20"/>
  <c r="E193" i="20" s="1"/>
  <c r="F107" i="20"/>
  <c r="F141" i="20" s="1"/>
  <c r="E107" i="20"/>
  <c r="E105" i="20"/>
  <c r="F104" i="20"/>
  <c r="F105" i="20" s="1"/>
  <c r="E104" i="20"/>
  <c r="F98" i="20"/>
  <c r="E98" i="20"/>
  <c r="F63" i="20"/>
  <c r="E63" i="20"/>
  <c r="F62" i="20"/>
  <c r="E62" i="20"/>
  <c r="E58" i="20" s="1"/>
  <c r="F58" i="20"/>
  <c r="F55" i="20"/>
  <c r="E55" i="20"/>
  <c r="F52" i="20"/>
  <c r="E52" i="20"/>
  <c r="F47" i="20"/>
  <c r="E47" i="20"/>
  <c r="F37" i="20"/>
  <c r="E37" i="20"/>
  <c r="D32" i="20"/>
  <c r="D31" i="20"/>
  <c r="D30" i="20"/>
  <c r="D29" i="20"/>
  <c r="D28" i="20"/>
  <c r="D27" i="20"/>
  <c r="F189" i="17"/>
  <c r="F186" i="17"/>
  <c r="E186" i="17"/>
  <c r="F180" i="17"/>
  <c r="F182" i="17" s="1"/>
  <c r="F188" i="17" s="1"/>
  <c r="E180" i="17"/>
  <c r="E182" i="17" s="1"/>
  <c r="F167" i="17"/>
  <c r="E167" i="17"/>
  <c r="F164" i="17"/>
  <c r="E164" i="17"/>
  <c r="F159" i="17"/>
  <c r="E159" i="17"/>
  <c r="F155" i="17"/>
  <c r="E155" i="17"/>
  <c r="F152" i="17"/>
  <c r="E152" i="17"/>
  <c r="F134" i="17"/>
  <c r="E134" i="17"/>
  <c r="E137" i="17" s="1"/>
  <c r="B126" i="17"/>
  <c r="F120" i="17"/>
  <c r="E120" i="17"/>
  <c r="F118" i="17"/>
  <c r="E118" i="17"/>
  <c r="E189" i="17" s="1"/>
  <c r="F103" i="17"/>
  <c r="F43" i="21" s="1"/>
  <c r="E103" i="17"/>
  <c r="E43" i="21" s="1"/>
  <c r="F100" i="17"/>
  <c r="F101" i="17" s="1"/>
  <c r="E100" i="17"/>
  <c r="E101" i="17" s="1"/>
  <c r="F94" i="17"/>
  <c r="E94" i="17"/>
  <c r="F59" i="17"/>
  <c r="E59" i="17"/>
  <c r="F58" i="17"/>
  <c r="E58" i="17"/>
  <c r="E33" i="21" s="1"/>
  <c r="F54" i="17"/>
  <c r="E54" i="17"/>
  <c r="F51" i="17"/>
  <c r="E51" i="17"/>
  <c r="F48" i="17"/>
  <c r="E48" i="17"/>
  <c r="F43" i="17"/>
  <c r="E43" i="17"/>
  <c r="F33" i="17"/>
  <c r="E33" i="17"/>
  <c r="D28" i="17"/>
  <c r="D27" i="17"/>
  <c r="D26" i="17"/>
  <c r="D25" i="17"/>
  <c r="D24" i="17"/>
  <c r="D23" i="17"/>
  <c r="E188" i="17" l="1"/>
  <c r="E160" i="17"/>
  <c r="E166" i="17" s="1"/>
  <c r="E68" i="11"/>
  <c r="F176" i="11"/>
  <c r="F182" i="11" s="1"/>
  <c r="F68" i="11"/>
  <c r="F160" i="17"/>
  <c r="F166" i="17" s="1"/>
  <c r="E68" i="17"/>
  <c r="E97" i="17" s="1"/>
  <c r="F68" i="17"/>
  <c r="F97" i="17" s="1"/>
  <c r="F33" i="21"/>
  <c r="F72" i="20"/>
  <c r="E139" i="11"/>
  <c r="F137" i="17"/>
  <c r="E164" i="20"/>
  <c r="E170" i="20" s="1"/>
  <c r="F192" i="20"/>
  <c r="F93" i="11"/>
  <c r="F97" i="11"/>
  <c r="F98" i="11" s="1"/>
  <c r="F106" i="11"/>
  <c r="E72" i="20"/>
  <c r="E106" i="11"/>
  <c r="E93" i="11"/>
  <c r="E97" i="11"/>
  <c r="F97" i="20"/>
  <c r="F101" i="20"/>
  <c r="F110" i="20"/>
  <c r="F46" i="21"/>
  <c r="E32" i="21"/>
  <c r="E36" i="21"/>
  <c r="E40" i="21"/>
  <c r="E44" i="21"/>
  <c r="E55" i="21"/>
  <c r="F139" i="11"/>
  <c r="F32" i="21"/>
  <c r="F36" i="21"/>
  <c r="F40" i="21"/>
  <c r="F44" i="21"/>
  <c r="F55" i="21"/>
  <c r="E37" i="21"/>
  <c r="E41" i="21"/>
  <c r="E45" i="21"/>
  <c r="F37" i="21"/>
  <c r="F41" i="21"/>
  <c r="F45" i="21"/>
  <c r="E30" i="21"/>
  <c r="E34" i="21"/>
  <c r="E38" i="21"/>
  <c r="E42" i="21"/>
  <c r="F30" i="21"/>
  <c r="F34" i="21"/>
  <c r="F38" i="21"/>
  <c r="F42" i="21"/>
  <c r="E31" i="21"/>
  <c r="E35" i="21"/>
  <c r="F31" i="21"/>
  <c r="F35" i="21"/>
  <c r="E106" i="17" l="1"/>
  <c r="E93" i="17"/>
  <c r="E39" i="21" s="1"/>
  <c r="F93" i="17"/>
  <c r="F106" i="17"/>
  <c r="F39" i="21"/>
  <c r="F99" i="11"/>
  <c r="F101" i="11"/>
  <c r="F99" i="17"/>
  <c r="F102" i="17"/>
  <c r="E137" i="11"/>
  <c r="E138" i="11" s="1"/>
  <c r="E107" i="11"/>
  <c r="E98" i="11"/>
  <c r="E102" i="11" s="1"/>
  <c r="E102" i="17"/>
  <c r="E99" i="17"/>
  <c r="F137" i="11"/>
  <c r="F138" i="11" s="1"/>
  <c r="F102" i="11"/>
  <c r="F107" i="11"/>
  <c r="F103" i="20"/>
  <c r="F106" i="20"/>
  <c r="E97" i="20"/>
  <c r="E101" i="20"/>
  <c r="E110" i="20"/>
  <c r="E99" i="11" l="1"/>
  <c r="E101" i="11"/>
  <c r="F104" i="17"/>
  <c r="F133" i="17"/>
  <c r="F135" i="17" s="1"/>
  <c r="F136" i="17" s="1"/>
  <c r="F137" i="20"/>
  <c r="F139" i="20" s="1"/>
  <c r="F140" i="20" s="1"/>
  <c r="F108" i="20"/>
  <c r="E103" i="20"/>
  <c r="E106" i="20"/>
  <c r="E104" i="17"/>
  <c r="E133" i="17"/>
  <c r="E135" i="17" s="1"/>
  <c r="E136" i="17" s="1"/>
  <c r="E47" i="21" l="1"/>
  <c r="E46" i="21"/>
  <c r="E108" i="20"/>
  <c r="E137" i="20"/>
  <c r="E139" i="20" s="1"/>
  <c r="E140" i="20" s="1"/>
</calcChain>
</file>

<file path=xl/sharedStrings.xml><?xml version="1.0" encoding="utf-8"?>
<sst xmlns="http://schemas.openxmlformats.org/spreadsheetml/2006/main" count="2257" uniqueCount="670">
  <si>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</si>
  <si>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</si>
  <si>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</si>
  <si>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</si>
  <si>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</si>
  <si>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</si>
  <si>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</si>
  <si>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</si>
  <si>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</si>
  <si>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</si>
  <si>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</si>
  <si>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</si>
  <si>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</si>
  <si>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</si>
  <si>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</si>
  <si>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</si>
  <si>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</si>
  <si>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</si>
  <si>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</si>
  <si>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</si>
  <si>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</si>
  <si>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</si>
  <si>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</si>
  <si>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</si>
  <si>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</si>
  <si>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</si>
  <si>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</si>
  <si>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</si>
  <si>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</si>
  <si>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</si>
  <si>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</si>
  <si>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</si>
  <si>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</si>
  <si>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</si>
  <si>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</si>
  <si>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</si>
  <si>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</si>
  <si>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</si>
  <si>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</si>
  <si>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</si>
  <si>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</si>
  <si>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</si>
  <si>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</si>
  <si>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</si>
  <si>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</si>
  <si>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</si>
  <si>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</si>
  <si>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</si>
  <si>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</si>
  <si>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</si>
  <si>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</si>
  <si>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</si>
  <si>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</si>
  <si>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</si>
  <si>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</si>
  <si>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</si>
  <si>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</si>
  <si>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</si>
  <si>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</si>
  <si>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</si>
  <si>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</si>
  <si>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</si>
  <si>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</si>
  <si>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</si>
  <si>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</si>
  <si>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</si>
  <si>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</si>
  <si>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</si>
  <si>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</si>
  <si>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</si>
  <si>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</si>
  <si>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</si>
  <si>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</si>
  <si>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</si>
  <si>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</si>
  <si>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</si>
  <si>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</si>
  <si>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</si>
  <si>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</si>
  <si>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</si>
  <si>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</si>
  <si>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</si>
  <si>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</si>
  <si>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</si>
  <si>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</si>
  <si>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</si>
  <si>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</si>
  <si>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</si>
  <si>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</si>
  <si>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</si>
  <si>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</si>
  <si>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</si>
  <si>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</si>
  <si>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</si>
  <si>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</si>
  <si>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</si>
  <si>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</si>
  <si>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</si>
  <si>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</si>
  <si>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</si>
  <si>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</si>
  <si>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</si>
  <si>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</si>
  <si>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</si>
  <si>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</si>
  <si>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</si>
  <si>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</si>
  <si>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</si>
  <si>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</si>
  <si>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</si>
  <si>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</si>
  <si>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</si>
  <si>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</si>
  <si>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</si>
  <si>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</si>
  <si>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</si>
  <si>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</si>
  <si>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</si>
  <si>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</si>
  <si>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</si>
  <si>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</si>
  <si>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</si>
  <si>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</si>
  <si>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</si>
  <si>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</si>
  <si>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</si>
  <si>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</si>
  <si>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</si>
  <si>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</si>
  <si>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</si>
  <si>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</si>
  <si>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</si>
  <si>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</si>
  <si>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</si>
  <si>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</si>
  <si>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</si>
  <si>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</si>
  <si>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</si>
  <si>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</si>
  <si>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</si>
  <si>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</si>
  <si>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</si>
  <si>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</si>
  <si>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</si>
  <si>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</si>
  <si>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</si>
  <si>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</si>
  <si>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</si>
  <si>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</si>
  <si>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</si>
  <si>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</si>
  <si>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</si>
  <si>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</si>
  <si>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</si>
  <si>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</si>
  <si>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</si>
  <si>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</si>
  <si>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</si>
  <si>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</si>
  <si>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</si>
  <si>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</si>
  <si>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</si>
  <si>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</si>
  <si>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</si>
  <si>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</si>
  <si>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</si>
  <si>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</si>
  <si>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</si>
  <si>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</si>
  <si>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</si>
  <si>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</si>
  <si>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</si>
  <si>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</si>
  <si>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</si>
  <si>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</si>
  <si>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</si>
  <si>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</si>
  <si>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</si>
  <si>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</si>
  <si>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</si>
  <si>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</si>
  <si>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</si>
  <si>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</si>
  <si>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</si>
  <si>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</si>
  <si>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</si>
  <si>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</si>
  <si>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</si>
  <si>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</si>
  <si>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</si>
  <si>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</si>
  <si>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</si>
  <si>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</si>
  <si>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</si>
  <si>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</si>
  <si>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</si>
  <si>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</si>
  <si>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</si>
  <si>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</si>
  <si>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</si>
  <si>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</si>
  <si>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</si>
  <si>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</si>
  <si>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</si>
  <si>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</si>
  <si>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</si>
  <si>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</si>
  <si>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</si>
  <si>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</si>
  <si>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</si>
  <si>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</si>
  <si>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</si>
  <si>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</si>
  <si>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</si>
  <si>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</si>
  <si>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</si>
  <si>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</si>
  <si>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</si>
  <si>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</si>
  <si>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</si>
  <si>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</si>
  <si>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</si>
  <si>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</si>
  <si>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</si>
  <si>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</si>
  <si>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</si>
  <si>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</si>
  <si>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</si>
  <si>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</si>
  <si>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</si>
  <si>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</si>
  <si>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</si>
  <si>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</si>
  <si>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</si>
  <si>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</si>
  <si>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</si>
  <si>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</si>
  <si>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</si>
  <si>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</si>
  <si>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</si>
  <si>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</si>
  <si>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</si>
  <si>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</si>
  <si>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</si>
  <si>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</si>
  <si>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</si>
  <si>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</si>
  <si>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</si>
  <si>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</si>
  <si>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</si>
  <si>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</si>
  <si>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</si>
  <si>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</si>
  <si>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</si>
  <si>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</si>
  <si>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</si>
  <si>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</si>
  <si>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</si>
  <si>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</si>
  <si>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</si>
  <si>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</si>
  <si>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</si>
  <si>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</si>
  <si>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</si>
  <si>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</si>
  <si>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</si>
  <si>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</si>
  <si>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</si>
  <si>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</si>
  <si>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</si>
  <si>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</si>
  <si>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</si>
  <si>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</si>
  <si>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</si>
  <si>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</si>
  <si>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</si>
  <si>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</si>
  <si>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</si>
  <si>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</si>
  <si>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</si>
  <si>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</si>
  <si>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</si>
  <si>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</si>
  <si>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</si>
  <si>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</si>
  <si>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</si>
  <si>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</si>
  <si>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</si>
  <si>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</si>
  <si>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</si>
  <si>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</si>
  <si>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</si>
  <si>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</si>
  <si>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</si>
  <si>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</si>
  <si>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</si>
  <si>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</si>
  <si>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</si>
  <si>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</si>
  <si>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</si>
  <si>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</si>
  <si>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</si>
  <si>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</si>
  <si>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</si>
  <si>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</si>
  <si>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</si>
  <si>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</si>
  <si>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</si>
  <si>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</si>
  <si>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</si>
  <si>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</si>
  <si>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</si>
  <si>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</si>
  <si>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</si>
  <si>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</si>
  <si>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</si>
  <si>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</si>
  <si>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</si>
  <si>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</si>
  <si>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</si>
  <si>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</si>
  <si>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</si>
  <si>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</si>
  <si>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</si>
  <si>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</si>
  <si>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</si>
  <si>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</si>
  <si>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</si>
  <si>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</si>
  <si>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</si>
  <si>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</si>
  <si>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</si>
  <si>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</si>
  <si>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</si>
  <si>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</si>
  <si>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</si>
  <si>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</si>
  <si>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</si>
  <si>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</si>
  <si>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</si>
  <si>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</si>
  <si>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</si>
  <si>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</si>
  <si>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</si>
  <si>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</si>
  <si>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</si>
  <si>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</si>
  <si>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</si>
  <si>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</si>
  <si>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</si>
  <si>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</si>
  <si>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</si>
  <si>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</si>
  <si>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</si>
  <si>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</si>
  <si>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</si>
  <si>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</si>
  <si>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</si>
  <si>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</si>
  <si>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</si>
  <si>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</si>
  <si>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</si>
  <si>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</si>
  <si>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</si>
  <si>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</si>
  <si>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</si>
  <si>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</si>
  <si>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</si>
  <si>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</si>
  <si>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</si>
  <si>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</si>
  <si>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</si>
  <si>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</si>
  <si>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</si>
  <si>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</si>
  <si>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</si>
  <si>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</si>
  <si>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</si>
  <si>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</si>
  <si>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</si>
  <si>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</si>
  <si>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</si>
  <si>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</si>
  <si>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</si>
  <si>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</si>
  <si>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</si>
  <si>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</si>
  <si>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</si>
  <si>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</si>
  <si>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</si>
  <si>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</si>
  <si>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</si>
  <si>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</si>
  <si>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</si>
  <si>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</si>
  <si>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</si>
  <si>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</si>
  <si>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</si>
  <si>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</si>
  <si>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</si>
  <si>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</si>
  <si>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</si>
  <si>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</si>
  <si>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</si>
  <si>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</si>
  <si>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</si>
  <si>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</si>
  <si>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</si>
  <si>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</si>
  <si>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</si>
  <si>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</si>
  <si>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</si>
  <si>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</si>
  <si>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</si>
  <si>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</si>
  <si>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</si>
  <si>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</si>
  <si>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</si>
  <si>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</si>
  <si>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</si>
  <si>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</si>
  <si>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</si>
  <si>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</si>
  <si>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</si>
  <si>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</si>
  <si>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</si>
  <si>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</si>
  <si>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</si>
  <si>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</si>
  <si>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</si>
  <si>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</si>
  <si>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</si>
  <si>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</si>
  <si>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</si>
  <si>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</si>
  <si>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</si>
  <si>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</si>
  <si>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</si>
  <si>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</si>
  <si>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</si>
  <si>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</si>
  <si>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</si>
  <si>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</si>
  <si>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</si>
  <si>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</si>
  <si>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</si>
  <si>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</si>
  <si>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</si>
  <si>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</si>
  <si>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</si>
  <si>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</si>
  <si>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</si>
  <si>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</si>
  <si>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</si>
  <si>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</si>
  <si>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</si>
  <si>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</si>
  <si>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</si>
  <si>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</si>
  <si>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</si>
  <si>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</si>
  <si>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</si>
  <si>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</si>
  <si>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</si>
  <si>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</si>
  <si>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</si>
  <si>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</si>
  <si>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</si>
  <si>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</si>
  <si>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</si>
  <si>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</si>
  <si>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</si>
  <si>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</si>
  <si>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</si>
  <si>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</si>
  <si>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</si>
  <si>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</si>
  <si>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</si>
  <si>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</si>
  <si>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</si>
  <si>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</si>
  <si>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</si>
  <si>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</si>
  <si>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</si>
  <si>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</si>
  <si>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</si>
  <si>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</si>
  <si>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</si>
  <si>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</si>
  <si>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</si>
  <si>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</si>
  <si>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</si>
  <si>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</si>
  <si>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</si>
  <si>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</si>
  <si>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</si>
  <si>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</si>
  <si>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</si>
  <si>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</si>
  <si>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</si>
  <si>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</si>
  <si>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</si>
  <si>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</si>
  <si>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</si>
  <si>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</si>
  <si>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</si>
  <si>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</si>
  <si>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</si>
  <si>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</si>
  <si>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</si>
  <si>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</si>
  <si>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</si>
  <si>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</si>
  <si>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</si>
  <si>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</si>
  <si>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</si>
  <si>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</si>
  <si>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</si>
  <si>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</si>
  <si>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</si>
  <si>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</si>
  <si>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</si>
  <si>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</si>
  <si>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</si>
  <si>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</si>
  <si>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</si>
  <si>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</si>
  <si>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</si>
  <si>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</si>
  <si>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</si>
  <si>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</si>
  <si>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</si>
  <si>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</si>
  <si>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</si>
  <si>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</si>
  <si>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</si>
  <si>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</si>
  <si>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</si>
  <si>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</si>
  <si>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</si>
  <si>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</si>
  <si>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</si>
  <si>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</si>
  <si>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</si>
  <si>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</si>
  <si>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</si>
  <si>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</si>
  <si>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</si>
  <si>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</si>
  <si>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</si>
  <si>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</si>
  <si>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</si>
  <si>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</si>
  <si>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</si>
  <si>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</si>
  <si>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</si>
  <si>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</si>
  <si>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</si>
  <si>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</si>
  <si>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</si>
  <si>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</si>
  <si>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</si>
  <si>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</si>
  <si>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</si>
  <si>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</si>
  <si>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</si>
  <si>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</si>
  <si>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</si>
  <si>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</si>
  <si>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</si>
  <si>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</si>
  <si>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</si>
  <si>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</si>
  <si>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</si>
  <si>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</si>
  <si>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</si>
  <si>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</si>
  <si>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</si>
  <si>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</si>
  <si>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</si>
  <si>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</si>
  <si>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</si>
  <si>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</si>
  <si>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</si>
  <si>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</si>
  <si>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</si>
  <si>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</si>
  <si>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</si>
  <si>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</si>
  <si>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</si>
  <si>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</si>
  <si>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</si>
  <si>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</si>
  <si>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</si>
  <si>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</si>
  <si>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</si>
  <si>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</si>
  <si>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</si>
  <si>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</si>
  <si>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</si>
  <si>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</si>
  <si>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</si>
  <si>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</si>
  <si>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</si>
  <si>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</si>
  <si>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</si>
  <si>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</si>
  <si>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</si>
  <si>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</si>
  <si>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</si>
  <si>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</si>
  <si>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</si>
  <si>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</si>
  <si>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</si>
  <si>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</si>
  <si>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</si>
  <si>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</si>
  <si>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</si>
  <si>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</si>
  <si>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</si>
  <si>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</si>
  <si>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</si>
  <si>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</si>
  <si>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</si>
  <si>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</si>
  <si>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</si>
  <si>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</si>
  <si>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</si>
  <si>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</si>
  <si>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</si>
  <si>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</si>
  <si>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</si>
  <si>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</si>
  <si>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</si>
  <si>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</si>
  <si>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</si>
  <si>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</si>
  <si>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</si>
  <si>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</si>
  <si>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</si>
  <si>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</si>
  <si>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</si>
  <si>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</si>
  <si>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</si>
  <si>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</si>
  <si>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</si>
  <si>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</si>
  <si>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</si>
  <si>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</si>
  <si>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</si>
  <si>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</si>
  <si>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</si>
  <si>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</si>
  <si>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</si>
  <si>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</si>
  <si>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</si>
  <si>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</si>
  <si>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</si>
  <si>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</si>
  <si>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</si>
  <si>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</si>
  <si>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Kopřivná</t>
  </si>
  <si>
    <t>Obec Kořivná</t>
  </si>
  <si>
    <t>7111-669377-00635251-1/1-00635251</t>
  </si>
  <si>
    <t>7111-669377-00635251-1/2-00635251</t>
  </si>
  <si>
    <t>7111-669377-00635251-2/1-00635251</t>
  </si>
  <si>
    <t>Kopřivná</t>
  </si>
  <si>
    <t>Formulář A</t>
  </si>
  <si>
    <t>Ing. Dana Plháková - Regarding Water</t>
  </si>
  <si>
    <t>DanaLet@seznam.cz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</si>
</sst>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7" zoomScale="90" zoomScaleNormal="90" workbookViewId="0">
      <selection activeCell="I36" sqref="I36"/>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637</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638</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657</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660</v>
      </c>
      <c r="J21" s="478"/>
      <c r="L21" s="464"/>
      <c r="M21" s="491" t="s">
        <v>468</v>
      </c>
      <c r="N21" s="425" t="s">
        <v>427</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635251</v>
      </c>
      <c r="G25" s="402"/>
      <c r="H25" s="402"/>
      <c r="I25" s="402"/>
      <c r="J25" s="487"/>
      <c r="K25" s="487"/>
      <c r="L25" s="403"/>
      <c r="M25" s="400" t="s">
        <v>503</v>
      </c>
      <c r="N25" s="395"/>
      <c r="O25" s="401"/>
      <c r="P25" s="390"/>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662</v>
      </c>
      <c r="E28" s="401"/>
      <c r="F28" s="390">
        <v>635251</v>
      </c>
      <c r="G28" s="402"/>
      <c r="H28" s="402"/>
      <c r="I28" s="402"/>
      <c r="J28" s="487"/>
      <c r="K28" s="487"/>
      <c r="L28" s="399"/>
      <c r="M28" s="406" t="s">
        <v>442</v>
      </c>
      <c r="N28" s="395"/>
      <c r="O28" s="401"/>
      <c r="P28" s="390"/>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635251</v>
      </c>
      <c r="G31" s="402"/>
      <c r="H31" s="406" t="s">
        <v>444</v>
      </c>
      <c r="I31" s="489" t="s">
        <v>663</v>
      </c>
      <c r="J31" s="487"/>
      <c r="K31" s="487"/>
      <c r="L31" s="399"/>
      <c r="M31" s="406" t="s">
        <v>443</v>
      </c>
      <c r="N31" s="392"/>
      <c r="O31" s="407"/>
      <c r="P31" s="391"/>
      <c r="Q31" s="402"/>
      <c r="R31" s="406" t="s">
        <v>444</v>
      </c>
      <c r="S31" s="489"/>
      <c r="T31" s="487"/>
    </row>
    <row r="32" spans="1:20" ht="16.5" x14ac:dyDescent="0.3">
      <c r="A32" s="469"/>
      <c r="B32" s="404"/>
      <c r="D32" s="393" t="s">
        <v>661</v>
      </c>
      <c r="E32" s="389"/>
      <c r="F32" s="391">
        <v>635251</v>
      </c>
      <c r="I32" s="394" t="s">
        <v>664</v>
      </c>
      <c r="J32" s="478"/>
      <c r="K32" s="478"/>
      <c r="L32" s="404"/>
      <c r="M32" s="405"/>
      <c r="N32" s="393"/>
      <c r="O32" s="389"/>
      <c r="P32" s="391"/>
      <c r="Q32" s="405"/>
      <c r="R32" s="405"/>
      <c r="S32" s="394"/>
      <c r="T32" s="478"/>
    </row>
    <row r="33" spans="1:20" ht="16.5" x14ac:dyDescent="0.3">
      <c r="A33" s="469"/>
      <c r="B33" s="404"/>
      <c r="D33" s="393" t="s">
        <v>661</v>
      </c>
      <c r="E33" s="389"/>
      <c r="F33" s="391">
        <v>635251</v>
      </c>
      <c r="I33" s="394" t="s">
        <v>665</v>
      </c>
      <c r="J33" s="478"/>
      <c r="K33" s="478"/>
      <c r="L33" s="404"/>
      <c r="M33" s="405"/>
      <c r="N33" s="393"/>
      <c r="O33" s="389"/>
      <c r="P33" s="391"/>
      <c r="Q33" s="405"/>
      <c r="R33" s="405"/>
      <c r="S33" s="394"/>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96" workbookViewId="0">
      <selection activeCell="E162" sqref="E162"/>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639</v>
      </c>
      <c r="C18" s="805"/>
      <c r="D18" s="805"/>
      <c r="E18" s="805"/>
      <c r="F18" s="806"/>
      <c r="G18" s="97"/>
    </row>
    <row r="19" spans="1:7" ht="16.350000000000001" customHeight="1" thickBot="1" x14ac:dyDescent="0.35">
      <c r="A19" s="6"/>
      <c r="B19" s="554"/>
      <c r="C19" s="556" t="s">
        <v>492</v>
      </c>
      <c r="D19" s="829" t="s">
        <v>666</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Kopřivná</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635251</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Kořivná</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635251</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667</v>
      </c>
      <c r="E29" s="821"/>
      <c r="F29" s="822"/>
      <c r="G29" s="100" t="s">
        <v>370</v>
      </c>
    </row>
    <row r="30" spans="1:7" ht="18" customHeight="1" thickBot="1" x14ac:dyDescent="0.35">
      <c r="A30" s="6"/>
      <c r="B30" s="316" t="s">
        <v>7</v>
      </c>
      <c r="C30" s="9" t="s">
        <v>8</v>
      </c>
      <c r="D30" s="792"/>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3">
      <c r="A34" s="6"/>
      <c r="B34" s="316" t="s">
        <v>13</v>
      </c>
      <c r="C34" s="795" t="s">
        <v>14</v>
      </c>
      <c r="D34" s="795"/>
      <c r="E34" s="542">
        <v>2.5125000000000001E-2</v>
      </c>
      <c r="F34" s="543"/>
      <c r="G34" s="100" t="s">
        <v>370</v>
      </c>
    </row>
    <row r="35" spans="1:8" ht="24" customHeight="1" x14ac:dyDescent="0.3">
      <c r="A35" s="6"/>
      <c r="B35" s="316" t="s">
        <v>15</v>
      </c>
      <c r="C35" s="795" t="s">
        <v>16</v>
      </c>
      <c r="D35" s="795"/>
      <c r="E35" s="441">
        <v>2.5125000000000001E-2</v>
      </c>
      <c r="F35" s="383"/>
      <c r="G35" s="100" t="s">
        <v>370</v>
      </c>
    </row>
    <row r="36" spans="1:8" ht="24" customHeight="1" thickBot="1" x14ac:dyDescent="0.35">
      <c r="A36" s="6"/>
      <c r="B36" s="316" t="s">
        <v>17</v>
      </c>
      <c r="C36" s="795" t="s">
        <v>647</v>
      </c>
      <c r="D36" s="795"/>
      <c r="E36" s="544">
        <v>18.849091000000001</v>
      </c>
      <c r="F36" s="545"/>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3.9461999999999997E-2</v>
      </c>
      <c r="F43" s="23">
        <f>+F44+F45+F46+F47</f>
        <v>0</v>
      </c>
      <c r="G43" s="100" t="s">
        <v>370</v>
      </c>
    </row>
    <row r="44" spans="1:8" ht="17.100000000000001" customHeight="1" x14ac:dyDescent="0.3">
      <c r="A44" s="6"/>
      <c r="B44" s="30" t="s">
        <v>178</v>
      </c>
      <c r="C44" s="31" t="s">
        <v>26</v>
      </c>
      <c r="D44" s="320" t="s">
        <v>25</v>
      </c>
      <c r="E44" s="367">
        <v>2.4562E-2</v>
      </c>
      <c r="F44" s="368"/>
      <c r="G44" s="100" t="s">
        <v>370</v>
      </c>
    </row>
    <row r="45" spans="1:8" ht="17.100000000000001" customHeight="1" x14ac:dyDescent="0.3">
      <c r="A45" s="6"/>
      <c r="B45" s="30" t="s">
        <v>179</v>
      </c>
      <c r="C45" s="31" t="s">
        <v>27</v>
      </c>
      <c r="D45" s="320" t="s">
        <v>25</v>
      </c>
      <c r="E45" s="367">
        <v>0</v>
      </c>
      <c r="F45" s="368"/>
      <c r="G45" s="100" t="s">
        <v>370</v>
      </c>
    </row>
    <row r="46" spans="1:8" ht="17.100000000000001" customHeight="1" x14ac:dyDescent="0.3">
      <c r="A46" s="6"/>
      <c r="B46" s="30" t="s">
        <v>180</v>
      </c>
      <c r="C46" s="31" t="s">
        <v>28</v>
      </c>
      <c r="D46" s="320" t="s">
        <v>25</v>
      </c>
      <c r="E46" s="367">
        <v>3.8999999999999998E-3</v>
      </c>
      <c r="F46" s="368"/>
      <c r="G46" s="100" t="s">
        <v>370</v>
      </c>
    </row>
    <row r="47" spans="1:8" ht="17.100000000000001" customHeight="1" thickBot="1" x14ac:dyDescent="0.35">
      <c r="A47" s="6"/>
      <c r="B47" s="32" t="s">
        <v>181</v>
      </c>
      <c r="C47" s="33" t="s">
        <v>29</v>
      </c>
      <c r="D47" s="321" t="s">
        <v>25</v>
      </c>
      <c r="E47" s="369">
        <v>1.0999999999999999E-2</v>
      </c>
      <c r="F47" s="370"/>
      <c r="G47" s="100" t="s">
        <v>370</v>
      </c>
    </row>
    <row r="48" spans="1:8" ht="17.100000000000001" customHeight="1" x14ac:dyDescent="0.3">
      <c r="A48" s="6"/>
      <c r="B48" s="28" t="s">
        <v>30</v>
      </c>
      <c r="C48" s="29" t="s">
        <v>31</v>
      </c>
      <c r="D48" s="319" t="s">
        <v>25</v>
      </c>
      <c r="E48" s="22">
        <f>+E49+E50</f>
        <v>0</v>
      </c>
      <c r="F48" s="23">
        <f>+F49+F50</f>
        <v>0</v>
      </c>
      <c r="G48" s="100" t="s">
        <v>370</v>
      </c>
    </row>
    <row r="49" spans="1:8" ht="17.100000000000001" customHeight="1" x14ac:dyDescent="0.3">
      <c r="A49" s="6"/>
      <c r="B49" s="30" t="s">
        <v>182</v>
      </c>
      <c r="C49" s="31" t="s">
        <v>32</v>
      </c>
      <c r="D49" s="320" t="s">
        <v>25</v>
      </c>
      <c r="E49" s="367">
        <v>0</v>
      </c>
      <c r="F49" s="368"/>
      <c r="G49" s="100" t="s">
        <v>370</v>
      </c>
    </row>
    <row r="50" spans="1:8" ht="17.100000000000001" customHeight="1" thickBot="1" x14ac:dyDescent="0.35">
      <c r="A50" s="6"/>
      <c r="B50" s="32" t="s">
        <v>183</v>
      </c>
      <c r="C50" s="33" t="s">
        <v>33</v>
      </c>
      <c r="D50" s="321" t="s">
        <v>25</v>
      </c>
      <c r="E50" s="369">
        <v>0</v>
      </c>
      <c r="F50" s="370"/>
      <c r="G50" s="100" t="s">
        <v>370</v>
      </c>
    </row>
    <row r="51" spans="1:8" ht="17.100000000000001" customHeight="1" x14ac:dyDescent="0.3">
      <c r="A51" s="6"/>
      <c r="B51" s="28" t="s">
        <v>34</v>
      </c>
      <c r="C51" s="29" t="s">
        <v>35</v>
      </c>
      <c r="D51" s="319" t="s">
        <v>25</v>
      </c>
      <c r="E51" s="22">
        <f>+E52+E53</f>
        <v>0</v>
      </c>
      <c r="F51" s="23">
        <f>+F52+F53</f>
        <v>0</v>
      </c>
      <c r="G51" s="100" t="s">
        <v>370</v>
      </c>
    </row>
    <row r="52" spans="1:8" ht="17.100000000000001" customHeight="1" x14ac:dyDescent="0.3">
      <c r="A52" s="6"/>
      <c r="B52" s="30" t="s">
        <v>184</v>
      </c>
      <c r="C52" s="31" t="s">
        <v>36</v>
      </c>
      <c r="D52" s="320" t="s">
        <v>25</v>
      </c>
      <c r="E52" s="367">
        <v>0</v>
      </c>
      <c r="F52" s="368"/>
      <c r="G52" s="100" t="s">
        <v>370</v>
      </c>
    </row>
    <row r="53" spans="1:8" ht="17.100000000000001" customHeight="1" thickBot="1" x14ac:dyDescent="0.35">
      <c r="A53" s="6"/>
      <c r="B53" s="32" t="s">
        <v>185</v>
      </c>
      <c r="C53" s="33" t="s">
        <v>37</v>
      </c>
      <c r="D53" s="321" t="s">
        <v>25</v>
      </c>
      <c r="E53" s="369">
        <v>0</v>
      </c>
      <c r="F53" s="370"/>
      <c r="G53" s="100" t="s">
        <v>370</v>
      </c>
    </row>
    <row r="54" spans="1:8" ht="17.100000000000001" customHeight="1" x14ac:dyDescent="0.3">
      <c r="A54" s="6"/>
      <c r="B54" s="28" t="s">
        <v>38</v>
      </c>
      <c r="C54" s="29" t="s">
        <v>39</v>
      </c>
      <c r="D54" s="319" t="s">
        <v>25</v>
      </c>
      <c r="E54" s="713">
        <f>+E55+E56+E57+SUMIF(E58,"&gt;=0",E58)</f>
        <v>2.5146000000000002E-2</v>
      </c>
      <c r="F54" s="717">
        <f>+F55+F56+F57+SUMIF(F58,"&gt;=0",F58)</f>
        <v>0</v>
      </c>
      <c r="G54" s="100" t="s">
        <v>370</v>
      </c>
    </row>
    <row r="55" spans="1:8" ht="17.100000000000001" customHeight="1" x14ac:dyDescent="0.3">
      <c r="A55" s="6"/>
      <c r="B55" s="30" t="s">
        <v>186</v>
      </c>
      <c r="C55" s="34" t="s">
        <v>149</v>
      </c>
      <c r="D55" s="320" t="s">
        <v>25</v>
      </c>
      <c r="E55" s="367">
        <v>2.5146000000000002E-2</v>
      </c>
      <c r="F55" s="368"/>
      <c r="G55" s="100" t="s">
        <v>370</v>
      </c>
    </row>
    <row r="56" spans="1:8" ht="17.100000000000001" customHeight="1" x14ac:dyDescent="0.3">
      <c r="A56" s="6"/>
      <c r="B56" s="30" t="s">
        <v>187</v>
      </c>
      <c r="C56" s="34" t="s">
        <v>40</v>
      </c>
      <c r="D56" s="320" t="s">
        <v>25</v>
      </c>
      <c r="E56" s="367">
        <v>0</v>
      </c>
      <c r="F56" s="368"/>
      <c r="G56" s="100" t="s">
        <v>370</v>
      </c>
    </row>
    <row r="57" spans="1:8" ht="17.100000000000001" customHeight="1" x14ac:dyDescent="0.3">
      <c r="A57" s="6"/>
      <c r="B57" s="30" t="s">
        <v>188</v>
      </c>
      <c r="C57" s="31" t="s">
        <v>41</v>
      </c>
      <c r="D57" s="320" t="s">
        <v>25</v>
      </c>
      <c r="E57" s="367">
        <v>0</v>
      </c>
      <c r="F57" s="368"/>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8.5000000000000006E-2</v>
      </c>
      <c r="F59" s="23">
        <f>+F60+F61+F62</f>
        <v>0</v>
      </c>
      <c r="G59" s="100" t="s">
        <v>370</v>
      </c>
    </row>
    <row r="60" spans="1:8" ht="17.100000000000001" customHeight="1" x14ac:dyDescent="0.3">
      <c r="A60" s="6"/>
      <c r="B60" s="30" t="s">
        <v>190</v>
      </c>
      <c r="C60" s="31" t="s">
        <v>44</v>
      </c>
      <c r="D60" s="320" t="s">
        <v>25</v>
      </c>
      <c r="E60" s="367">
        <v>0</v>
      </c>
      <c r="F60" s="368"/>
      <c r="G60" s="100" t="s">
        <v>370</v>
      </c>
    </row>
    <row r="61" spans="1:8" ht="17.100000000000001" customHeight="1" x14ac:dyDescent="0.3">
      <c r="A61" s="6"/>
      <c r="B61" s="30" t="s">
        <v>191</v>
      </c>
      <c r="C61" s="31" t="s">
        <v>45</v>
      </c>
      <c r="D61" s="320" t="s">
        <v>25</v>
      </c>
      <c r="E61" s="367">
        <v>7.0000000000000007E-2</v>
      </c>
      <c r="F61" s="368"/>
      <c r="G61" s="100" t="s">
        <v>370</v>
      </c>
    </row>
    <row r="62" spans="1:8" ht="17.100000000000001" customHeight="1" thickBot="1" x14ac:dyDescent="0.35">
      <c r="A62" s="6"/>
      <c r="B62" s="32" t="s">
        <v>192</v>
      </c>
      <c r="C62" s="33" t="s">
        <v>46</v>
      </c>
      <c r="D62" s="321" t="s">
        <v>25</v>
      </c>
      <c r="E62" s="369">
        <v>1.4999999999999999E-2</v>
      </c>
      <c r="F62" s="370"/>
      <c r="G62" s="100" t="s">
        <v>370</v>
      </c>
    </row>
    <row r="63" spans="1:8" ht="17.100000000000001" customHeight="1" x14ac:dyDescent="0.3">
      <c r="A63" s="6"/>
      <c r="B63" s="35" t="s">
        <v>47</v>
      </c>
      <c r="C63" s="9" t="s">
        <v>48</v>
      </c>
      <c r="D63" s="322" t="s">
        <v>25</v>
      </c>
      <c r="E63" s="371">
        <v>0</v>
      </c>
      <c r="F63" s="372"/>
      <c r="G63" s="100" t="s">
        <v>370</v>
      </c>
    </row>
    <row r="64" spans="1:8" ht="17.100000000000001" customHeight="1" x14ac:dyDescent="0.3">
      <c r="A64" s="6"/>
      <c r="B64" s="35" t="s">
        <v>49</v>
      </c>
      <c r="C64" s="9" t="s">
        <v>50</v>
      </c>
      <c r="D64" s="322" t="s">
        <v>25</v>
      </c>
      <c r="E64" s="373">
        <v>0</v>
      </c>
      <c r="F64" s="374"/>
      <c r="G64" s="100" t="s">
        <v>370</v>
      </c>
      <c r="H64" s="114"/>
    </row>
    <row r="65" spans="1:8" ht="17.100000000000001" customHeight="1" thickBot="1" x14ac:dyDescent="0.35">
      <c r="A65" s="6"/>
      <c r="B65" s="116" t="s">
        <v>51</v>
      </c>
      <c r="C65" s="36" t="s">
        <v>52</v>
      </c>
      <c r="D65" s="323" t="s">
        <v>25</v>
      </c>
      <c r="E65" s="375">
        <v>0</v>
      </c>
      <c r="F65" s="376"/>
      <c r="G65" s="100" t="s">
        <v>370</v>
      </c>
    </row>
    <row r="66" spans="1:8" ht="17.100000000000001" customHeight="1" x14ac:dyDescent="0.3">
      <c r="A66" s="6"/>
      <c r="B66" s="35" t="s">
        <v>53</v>
      </c>
      <c r="C66" s="37" t="s">
        <v>54</v>
      </c>
      <c r="D66" s="324" t="s">
        <v>25</v>
      </c>
      <c r="E66" s="371">
        <v>0</v>
      </c>
      <c r="F66" s="372"/>
      <c r="G66" s="100" t="s">
        <v>370</v>
      </c>
    </row>
    <row r="67" spans="1:8" ht="17.100000000000001" customHeight="1" thickBot="1" x14ac:dyDescent="0.35">
      <c r="A67" s="6"/>
      <c r="B67" s="32" t="s">
        <v>195</v>
      </c>
      <c r="C67" s="33" t="s">
        <v>55</v>
      </c>
      <c r="D67" s="321" t="s">
        <v>25</v>
      </c>
      <c r="E67" s="369">
        <v>0</v>
      </c>
      <c r="F67" s="370"/>
      <c r="G67" s="100" t="s">
        <v>370</v>
      </c>
    </row>
    <row r="68" spans="1:8" ht="17.100000000000001" customHeight="1" thickBot="1" x14ac:dyDescent="0.35">
      <c r="A68" s="6"/>
      <c r="B68" s="115" t="s">
        <v>56</v>
      </c>
      <c r="C68" s="40" t="s">
        <v>357</v>
      </c>
      <c r="D68" s="325" t="s">
        <v>25</v>
      </c>
      <c r="E68" s="716">
        <f>+E43+E48+E51+E54+E63+E64+E65+E66+E59</f>
        <v>0.14960800000000002</v>
      </c>
      <c r="F68" s="714">
        <f>+F43+F48+F51+F54+F63+F64+F65+F66+F59</f>
        <v>0</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v>
      </c>
      <c r="F70" s="553"/>
      <c r="G70" s="100" t="s">
        <v>370</v>
      </c>
    </row>
    <row r="71" spans="1:8" ht="16.5" x14ac:dyDescent="0.3">
      <c r="A71" s="6"/>
      <c r="B71" s="44" t="s">
        <v>60</v>
      </c>
      <c r="C71" s="45" t="s">
        <v>61</v>
      </c>
      <c r="D71" s="46" t="s">
        <v>207</v>
      </c>
      <c r="E71" s="367">
        <v>8.0000000000000002E-3</v>
      </c>
      <c r="F71" s="365" t="s">
        <v>198</v>
      </c>
      <c r="G71" s="100" t="s">
        <v>370</v>
      </c>
      <c r="H71" s="414"/>
    </row>
    <row r="72" spans="1:8" ht="16.5" x14ac:dyDescent="0.3">
      <c r="A72" s="6"/>
      <c r="B72" s="44" t="s">
        <v>62</v>
      </c>
      <c r="C72" s="47" t="s">
        <v>63</v>
      </c>
      <c r="D72" s="46" t="s">
        <v>207</v>
      </c>
      <c r="E72" s="367">
        <v>8.0000000000000002E-3</v>
      </c>
      <c r="F72" s="365" t="s">
        <v>198</v>
      </c>
      <c r="G72" s="100" t="s">
        <v>370</v>
      </c>
    </row>
    <row r="73" spans="1:8" ht="16.5" x14ac:dyDescent="0.3">
      <c r="A73" s="6"/>
      <c r="B73" s="44" t="s">
        <v>64</v>
      </c>
      <c r="C73" s="45" t="s">
        <v>65</v>
      </c>
      <c r="D73" s="46" t="s">
        <v>207</v>
      </c>
      <c r="E73" s="366" t="s">
        <v>198</v>
      </c>
      <c r="F73" s="368"/>
      <c r="G73" s="100" t="s">
        <v>370</v>
      </c>
      <c r="H73" s="107"/>
    </row>
    <row r="74" spans="1:8" ht="16.5" x14ac:dyDescent="0.3">
      <c r="A74" s="6"/>
      <c r="B74" s="44" t="s">
        <v>66</v>
      </c>
      <c r="C74" s="47" t="s">
        <v>67</v>
      </c>
      <c r="D74" s="46" t="s">
        <v>207</v>
      </c>
      <c r="E74" s="366" t="s">
        <v>198</v>
      </c>
      <c r="F74" s="368"/>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c r="G76" s="100" t="s">
        <v>370</v>
      </c>
    </row>
    <row r="77" spans="1:8" ht="16.5" x14ac:dyDescent="0.3">
      <c r="A77" s="6"/>
      <c r="B77" s="44" t="s">
        <v>72</v>
      </c>
      <c r="C77" s="45" t="s">
        <v>73</v>
      </c>
      <c r="D77" s="46" t="s">
        <v>207</v>
      </c>
      <c r="E77" s="373">
        <v>0</v>
      </c>
      <c r="F77" s="368"/>
      <c r="G77" s="100" t="s">
        <v>370</v>
      </c>
      <c r="H77" s="109"/>
    </row>
    <row r="78" spans="1:8" ht="16.5" x14ac:dyDescent="0.3">
      <c r="A78" s="6"/>
      <c r="B78" s="44" t="s">
        <v>74</v>
      </c>
      <c r="C78" s="45" t="s">
        <v>75</v>
      </c>
      <c r="D78" s="46" t="s">
        <v>207</v>
      </c>
      <c r="E78" s="373">
        <v>0</v>
      </c>
      <c r="F78" s="368"/>
      <c r="G78" s="100" t="s">
        <v>370</v>
      </c>
      <c r="H78" s="109"/>
    </row>
    <row r="79" spans="1:8" ht="17.25" thickBot="1" x14ac:dyDescent="0.35">
      <c r="A79" s="6"/>
      <c r="B79" s="601" t="s">
        <v>547</v>
      </c>
      <c r="C79" s="66" t="s">
        <v>520</v>
      </c>
      <c r="D79" s="303" t="s">
        <v>582</v>
      </c>
      <c r="E79" s="375">
        <v>1.2E-2</v>
      </c>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18.701000000000001</v>
      </c>
      <c r="F93" s="23" t="str">
        <f>IFERROR(IF((F73+F75)&lt;&gt;0,F68/(F73+F75),IF(F77&lt;&gt;0,F68/F77,F68/F78)),"  ")</f>
        <v xml:space="preserve">  </v>
      </c>
      <c r="G93" s="100" t="s">
        <v>370</v>
      </c>
      <c r="H93" s="114"/>
    </row>
    <row r="94" spans="1:8" ht="16.5" x14ac:dyDescent="0.3">
      <c r="A94" s="6"/>
      <c r="B94" s="44" t="s">
        <v>85</v>
      </c>
      <c r="C94" s="62" t="s">
        <v>86</v>
      </c>
      <c r="D94" s="46" t="s">
        <v>25</v>
      </c>
      <c r="E94" s="296">
        <f>IFERROR(+E95+E96,0)</f>
        <v>-2.7149E-2</v>
      </c>
      <c r="F94" s="67">
        <f>IFERROR(+F95+F96,0)</f>
        <v>0</v>
      </c>
      <c r="G94" s="100" t="s">
        <v>370</v>
      </c>
      <c r="H94" s="332"/>
    </row>
    <row r="95" spans="1:8" ht="28.5" x14ac:dyDescent="0.3">
      <c r="A95" s="6"/>
      <c r="B95" s="50" t="s">
        <v>193</v>
      </c>
      <c r="C95" s="45" t="s">
        <v>88</v>
      </c>
      <c r="D95" s="46" t="s">
        <v>25</v>
      </c>
      <c r="E95" s="367">
        <v>-2.7149E-2</v>
      </c>
      <c r="F95" s="368"/>
      <c r="G95" s="100" t="s">
        <v>370</v>
      </c>
      <c r="H95" s="114"/>
    </row>
    <row r="96" spans="1:8" ht="28.5" x14ac:dyDescent="0.3">
      <c r="A96" s="6"/>
      <c r="B96" s="50" t="s">
        <v>194</v>
      </c>
      <c r="C96" s="45" t="s">
        <v>157</v>
      </c>
      <c r="D96" s="46" t="s">
        <v>25</v>
      </c>
      <c r="E96" s="367">
        <v>0</v>
      </c>
      <c r="F96" s="368"/>
      <c r="G96" s="100" t="s">
        <v>370</v>
      </c>
    </row>
    <row r="97" spans="1:11" ht="16.5" x14ac:dyDescent="0.3">
      <c r="A97" s="6"/>
      <c r="B97" s="44" t="s">
        <v>90</v>
      </c>
      <c r="C97" s="62" t="s">
        <v>158</v>
      </c>
      <c r="D97" s="46" t="s">
        <v>25</v>
      </c>
      <c r="E97" s="296">
        <f>IFERROR(+E68+E94,0)</f>
        <v>0.12245900000000001</v>
      </c>
      <c r="F97" s="67">
        <f>IFERROR(+F68+F94,0)</f>
        <v>0</v>
      </c>
      <c r="G97" s="100" t="s">
        <v>370</v>
      </c>
      <c r="H97" s="332"/>
    </row>
    <row r="98" spans="1:11" ht="16.5" x14ac:dyDescent="0.3">
      <c r="A98" s="6"/>
      <c r="B98" s="44" t="s">
        <v>92</v>
      </c>
      <c r="C98" s="45" t="s">
        <v>159</v>
      </c>
      <c r="D98" s="46" t="s">
        <v>25</v>
      </c>
      <c r="E98" s="367">
        <v>6.3280000000000003E-2</v>
      </c>
      <c r="F98" s="368"/>
      <c r="G98" s="100" t="s">
        <v>370</v>
      </c>
    </row>
    <row r="99" spans="1:11" ht="27" customHeight="1" x14ac:dyDescent="0.3">
      <c r="A99" s="6"/>
      <c r="B99" s="44" t="s">
        <v>93</v>
      </c>
      <c r="C99" s="51" t="s">
        <v>391</v>
      </c>
      <c r="D99" s="46" t="s">
        <v>94</v>
      </c>
      <c r="E99" s="297">
        <f>IFERROR(+(E98/E97)*100," ")</f>
        <v>51.674437975159023</v>
      </c>
      <c r="F99" s="54" t="str">
        <f>IFERROR(+(F98/F97)*100," ")</f>
        <v xml:space="preserve"> </v>
      </c>
      <c r="G99" s="100" t="s">
        <v>370</v>
      </c>
    </row>
    <row r="100" spans="1:11" ht="16.5" x14ac:dyDescent="0.3">
      <c r="A100" s="6"/>
      <c r="B100" s="44" t="s">
        <v>95</v>
      </c>
      <c r="C100" s="62" t="s">
        <v>96</v>
      </c>
      <c r="D100" s="46" t="s">
        <v>25</v>
      </c>
      <c r="E100" s="508" t="str">
        <f>+IF(E35-E55-E56&gt;=0,E35-E55-E56,"0,000000")</f>
        <v>0,000000</v>
      </c>
      <c r="F100" s="335">
        <f>+IF(F35-F55-F56&gt;=0,F35-F55-F56,"0,000000")</f>
        <v>0</v>
      </c>
      <c r="G100" s="100" t="s">
        <v>370</v>
      </c>
      <c r="H100" s="114"/>
      <c r="K100" s="348"/>
    </row>
    <row r="101" spans="1:11" ht="16.5" x14ac:dyDescent="0.3">
      <c r="A101" s="6"/>
      <c r="B101" s="44" t="s">
        <v>97</v>
      </c>
      <c r="C101" s="45" t="s">
        <v>98</v>
      </c>
      <c r="D101" s="46" t="s">
        <v>25</v>
      </c>
      <c r="E101" s="509">
        <f>IFERROR(+E98-E100," ")</f>
        <v>6.3280000000000003E-2</v>
      </c>
      <c r="F101" s="67">
        <f>IFERROR(+F98-F100," ")</f>
        <v>0</v>
      </c>
      <c r="G101" s="100" t="s">
        <v>370</v>
      </c>
    </row>
    <row r="102" spans="1:11" ht="16.5" x14ac:dyDescent="0.3">
      <c r="A102" s="6"/>
      <c r="B102" s="44" t="s">
        <v>100</v>
      </c>
      <c r="C102" s="45" t="s">
        <v>160</v>
      </c>
      <c r="D102" s="46" t="s">
        <v>25</v>
      </c>
      <c r="E102" s="296">
        <f>IFERROR(+E97+E98," ")</f>
        <v>0.18573900000000002</v>
      </c>
      <c r="F102" s="67">
        <f>IFERROR(+F97+F98," ")</f>
        <v>0</v>
      </c>
      <c r="G102" s="100" t="s">
        <v>370</v>
      </c>
    </row>
    <row r="103" spans="1:11" ht="16.5" x14ac:dyDescent="0.3">
      <c r="A103" s="6"/>
      <c r="B103" s="52" t="s">
        <v>102</v>
      </c>
      <c r="C103" s="45" t="s">
        <v>161</v>
      </c>
      <c r="D103" s="46" t="s">
        <v>207</v>
      </c>
      <c r="E103" s="679">
        <f>+IF(E71&lt;&gt;0,E71,IF(E78&lt;&gt;0,E78,E77))</f>
        <v>8.0000000000000002E-3</v>
      </c>
      <c r="F103" s="680">
        <f>+IF((F73+F75)&lt;&gt;0,F73+F75,IF(F77&lt;&gt;0,F77,F78))</f>
        <v>0</v>
      </c>
      <c r="G103" s="100" t="s">
        <v>370</v>
      </c>
      <c r="H103" s="641"/>
    </row>
    <row r="104" spans="1:11" ht="16.5" x14ac:dyDescent="0.3">
      <c r="A104" s="6"/>
      <c r="B104" s="44" t="s">
        <v>104</v>
      </c>
      <c r="C104" s="45" t="s">
        <v>105</v>
      </c>
      <c r="D104" s="46" t="s">
        <v>208</v>
      </c>
      <c r="E104" s="297">
        <f>IFERROR(FLOOR(+E102/E103,0.01)," ")</f>
        <v>23.21</v>
      </c>
      <c r="F104" s="54" t="str">
        <f>IFERROR(FLOOR(+F102/F103,0.01)," ")</f>
        <v xml:space="preserve"> </v>
      </c>
      <c r="G104" s="100" t="s">
        <v>370</v>
      </c>
    </row>
    <row r="105" spans="1:11" ht="16.5" x14ac:dyDescent="0.3">
      <c r="A105" s="6"/>
      <c r="B105" s="44" t="s">
        <v>107</v>
      </c>
      <c r="C105" s="45" t="s">
        <v>108</v>
      </c>
      <c r="D105" s="46" t="s">
        <v>208</v>
      </c>
      <c r="E105" s="387">
        <v>26</v>
      </c>
      <c r="F105" s="388"/>
      <c r="G105" s="100" t="s">
        <v>370</v>
      </c>
    </row>
    <row r="106" spans="1:11" ht="17.25" thickBot="1" x14ac:dyDescent="0.35">
      <c r="A106" s="6"/>
      <c r="B106" s="39" t="s">
        <v>110</v>
      </c>
      <c r="C106" s="48" t="s">
        <v>111</v>
      </c>
      <c r="D106" s="49" t="s">
        <v>208</v>
      </c>
      <c r="E106" s="298">
        <f>IFERROR(FLOOR(+IF((E55+E56)&lt;E34,(E68-E55-E56-E58+E34+E120)/E103,(E68-E113+E120)/E103),0.01)," ")</f>
        <v>18.7</v>
      </c>
      <c r="F106" s="55" t="str">
        <f>IFERROR(FLOOR(+IF((F55+F56)&lt;F34,(F68-F55-F56-F58+F34+F120)/F103,(F68-F113+F120)/F103),0.01)," ")</f>
        <v xml:space="preserve"> </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640</v>
      </c>
      <c r="F111" s="603"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t="str">
        <f>IFERROR(+(F132/F102)*100,"  ")</f>
        <v xml:space="preserve">  </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641</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642</v>
      </c>
      <c r="F146" s="59" t="s">
        <v>642</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v>18.849091000000001</v>
      </c>
      <c r="F150" s="372"/>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9.2360545900000007E-2</v>
      </c>
      <c r="F152" s="67" t="str">
        <f>IF(ISBLANK(F150),"  ",F150*F151)</f>
        <v xml:space="preserve">  </v>
      </c>
      <c r="G152" s="100" t="s">
        <v>370</v>
      </c>
      <c r="H152" s="114"/>
      <c r="I152" s="436"/>
    </row>
    <row r="153" spans="1:10" ht="29.25" x14ac:dyDescent="0.3">
      <c r="A153" s="592"/>
      <c r="B153" s="605" t="s">
        <v>524</v>
      </c>
      <c r="C153" s="63" t="s">
        <v>369</v>
      </c>
      <c r="D153" s="300" t="s">
        <v>25</v>
      </c>
      <c r="E153" s="373">
        <v>18.849091000000001</v>
      </c>
      <c r="F153" s="379"/>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0.1734116372</v>
      </c>
      <c r="F155" s="67" t="str">
        <f>IF(ISBLANK(F153)," ",F153*F154)</f>
        <v xml:space="preserve"> </v>
      </c>
      <c r="G155" s="100" t="s">
        <v>370</v>
      </c>
      <c r="H155" s="114"/>
      <c r="I155" s="436"/>
    </row>
    <row r="156" spans="1:10" ht="42.75" x14ac:dyDescent="0.3">
      <c r="A156" s="592"/>
      <c r="B156" s="605" t="s">
        <v>525</v>
      </c>
      <c r="C156" s="62" t="s">
        <v>210</v>
      </c>
      <c r="D156" s="300" t="s">
        <v>25</v>
      </c>
      <c r="E156" s="373">
        <v>0</v>
      </c>
      <c r="F156" s="374"/>
      <c r="G156" s="100" t="s">
        <v>370</v>
      </c>
      <c r="H156" s="107"/>
      <c r="I156" s="436"/>
    </row>
    <row r="157" spans="1:10" ht="42.75" x14ac:dyDescent="0.3">
      <c r="A157" s="592"/>
      <c r="B157" s="605" t="s">
        <v>526</v>
      </c>
      <c r="C157" s="62" t="s">
        <v>211</v>
      </c>
      <c r="D157" s="300" t="s">
        <v>25</v>
      </c>
      <c r="E157" s="373">
        <v>0</v>
      </c>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f>+IF(ISBLANK(E157),"  ",E157*E158)</f>
        <v>0</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0.2657721831</v>
      </c>
      <c r="F160" s="85">
        <f>+SUMIF(F152,"&gt;=0",F152)+SUMIF(F155,"&gt;=0",F155)+SUMIF(F156,"&gt;=0",F156)+SUMIF(F159,"&gt;=0",F159)</f>
        <v>0</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643</v>
      </c>
      <c r="D162" s="43" t="s">
        <v>367</v>
      </c>
      <c r="E162" s="371"/>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0.2657721831</v>
      </c>
      <c r="F166" s="579">
        <f>IF(AND(F160&lt;&gt;0,F164&gt;0),MIN(F160,F164),F160)</f>
        <v>0</v>
      </c>
      <c r="G166" s="100" t="s">
        <v>370</v>
      </c>
      <c r="H166" s="114"/>
    </row>
    <row r="167" spans="1:8" ht="17.25" thickBot="1" x14ac:dyDescent="0.35">
      <c r="A167" s="592"/>
      <c r="B167" s="606" t="s">
        <v>92</v>
      </c>
      <c r="C167" s="64" t="s">
        <v>159</v>
      </c>
      <c r="D167" s="78" t="s">
        <v>25</v>
      </c>
      <c r="E167" s="304">
        <f>+E98</f>
        <v>6.3280000000000003E-2</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642</v>
      </c>
      <c r="F174" s="59" t="s">
        <v>642</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644</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t="s">
        <v>668</v>
      </c>
      <c r="E191" s="744"/>
      <c r="F191" s="745"/>
      <c r="G191" s="104"/>
      <c r="H191" s="331"/>
    </row>
    <row r="192" spans="1:8" s="4" customFormat="1" ht="15" customHeight="1" x14ac:dyDescent="0.3">
      <c r="A192" s="7"/>
      <c r="B192" s="736" t="s">
        <v>122</v>
      </c>
      <c r="C192" s="736"/>
      <c r="D192" s="746">
        <v>602184739</v>
      </c>
      <c r="E192" s="747"/>
      <c r="F192" s="748"/>
      <c r="G192" s="105"/>
      <c r="H192" s="331"/>
    </row>
    <row r="193" spans="1:8" s="4" customFormat="1" ht="15" customHeight="1" x14ac:dyDescent="0.3">
      <c r="A193" s="7"/>
      <c r="B193" s="736" t="s">
        <v>429</v>
      </c>
      <c r="C193" s="736"/>
      <c r="D193" s="749" t="s">
        <v>669</v>
      </c>
      <c r="E193" s="750"/>
      <c r="F193" s="751"/>
      <c r="G193" s="105"/>
      <c r="H193" s="331"/>
    </row>
    <row r="194" spans="1:8" s="4" customFormat="1" ht="15" customHeight="1" thickBot="1" x14ac:dyDescent="0.35">
      <c r="A194" s="7"/>
      <c r="B194" s="736" t="s">
        <v>123</v>
      </c>
      <c r="C194" s="736"/>
      <c r="D194" s="737">
        <v>45657</v>
      </c>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645</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646</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639</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Kopřivná</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635251</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Kořivná</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635251</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647</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642</v>
      </c>
      <c r="F44" s="59" t="s">
        <v>642</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648</v>
      </c>
      <c r="F115" s="603"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641</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642</v>
      </c>
      <c r="F150" s="59" t="s">
        <v>642</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643</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642</v>
      </c>
      <c r="F178" s="59" t="s">
        <v>642</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644</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649</v>
      </c>
      <c r="C6" s="827"/>
      <c r="D6" s="827"/>
      <c r="E6" s="827"/>
      <c r="F6" s="828"/>
      <c r="G6" s="124"/>
      <c r="H6" s="515"/>
      <c r="I6" s="5"/>
      <c r="J6" s="5"/>
      <c r="K6" s="5"/>
      <c r="L6" s="5"/>
      <c r="M6" s="5"/>
      <c r="N6" s="5"/>
      <c r="O6" s="5"/>
      <c r="P6" s="5"/>
      <c r="Q6" s="5"/>
      <c r="R6" s="5"/>
      <c r="S6" s="5"/>
    </row>
    <row r="7" spans="1:256" ht="42" customHeight="1" x14ac:dyDescent="0.3">
      <c r="A7" s="119"/>
      <c r="B7" s="730" t="s">
        <v>650</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651</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Kopřivná</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635251</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Kořivná</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635251</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647</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633</v>
      </c>
      <c r="F113" s="614"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652</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653</v>
      </c>
      <c r="F162" s="222" t="s">
        <v>653</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643</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653</v>
      </c>
      <c r="F189" s="222" t="s">
        <v>653</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644</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52" workbookViewId="0">
      <selection activeCell="D64" sqref="D64:F64"/>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655</v>
      </c>
      <c r="C5" s="824"/>
      <c r="D5" s="824"/>
      <c r="E5" s="824"/>
      <c r="F5" s="825"/>
      <c r="G5" s="109"/>
      <c r="H5" s="535"/>
    </row>
    <row r="6" spans="1:18" ht="45" customHeight="1" thickBot="1" x14ac:dyDescent="0.35">
      <c r="A6" s="6"/>
      <c r="B6" s="840" t="s">
        <v>658</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Kopřivná</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661</v>
      </c>
      <c r="E19" s="927"/>
      <c r="F19" s="928"/>
      <c r="G19" s="667"/>
    </row>
    <row r="20" spans="1:7" ht="18" customHeight="1" x14ac:dyDescent="0.3">
      <c r="A20" s="6"/>
      <c r="B20" s="807"/>
      <c r="C20" s="9" t="s">
        <v>455</v>
      </c>
      <c r="D20" s="929">
        <v>635251</v>
      </c>
      <c r="E20" s="930"/>
      <c r="F20" s="931"/>
      <c r="G20" s="666"/>
    </row>
    <row r="21" spans="1:7" ht="18" customHeight="1" x14ac:dyDescent="0.3">
      <c r="A21" s="6"/>
      <c r="B21" s="807" t="s">
        <v>4</v>
      </c>
      <c r="C21" s="9" t="s">
        <v>456</v>
      </c>
      <c r="D21" s="929" t="s">
        <v>661</v>
      </c>
      <c r="E21" s="930"/>
      <c r="F21" s="931"/>
      <c r="G21" s="666"/>
    </row>
    <row r="22" spans="1:7" ht="18" customHeight="1" x14ac:dyDescent="0.3">
      <c r="A22" s="6"/>
      <c r="B22" s="807"/>
      <c r="C22" s="9" t="s">
        <v>457</v>
      </c>
      <c r="D22" s="929">
        <v>635251</v>
      </c>
      <c r="E22" s="930"/>
      <c r="F22" s="931"/>
      <c r="G22" s="666"/>
    </row>
    <row r="23" spans="1:7" ht="18" customHeight="1" x14ac:dyDescent="0.3">
      <c r="A23" s="6"/>
      <c r="B23" s="807" t="s">
        <v>5</v>
      </c>
      <c r="C23" s="9" t="s">
        <v>458</v>
      </c>
      <c r="D23" s="936" t="s">
        <v>661</v>
      </c>
      <c r="E23" s="937"/>
      <c r="F23" s="938"/>
      <c r="G23" s="666"/>
    </row>
    <row r="24" spans="1:7" ht="18" customHeight="1" thickBot="1" x14ac:dyDescent="0.35">
      <c r="A24" s="6"/>
      <c r="B24" s="807"/>
      <c r="C24" s="9" t="s">
        <v>459</v>
      </c>
      <c r="D24" s="939">
        <v>635251</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635</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4.9327499999999995</v>
      </c>
      <c r="F30" s="708" t="str">
        <f>(+IF(AND(OR(ISNUMBER('Plánová kalkulace'!F44),ISNUMBER('Plánová kalkulace'!F45),ISNUMBER('Plánová kalkulace'!F46),ISNUMBER('Plánová kalkulace'!F47)),'Plánová kalkulace'!F103&lt;&gt;0),'Plánová kalkulace'!F43/'Plánová kalkulace'!F103,"x"))</f>
        <v>x</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0</v>
      </c>
      <c r="F31" s="709" t="str">
        <f>+IF(AND(OR(ISNUMBER('Plánová kalkulace'!F49),ISNUMBER('Plánová kalkulace'!F50)),'Plánová kalkulace'!F103&lt;&gt;0),'Plánová kalkulace'!F48/'Plánová kalkulace'!F103,"x")</f>
        <v>x</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0</v>
      </c>
      <c r="F32" s="709" t="str">
        <f>+IF(AND(OR(ISNUMBER('Plánová kalkulace'!F52),ISNUMBER('Plánová kalkulace'!F53)),'Plánová kalkulace'!F103&lt;&gt;0),'Plánová kalkulace'!F51/'Plánová kalkulace'!F103,"x")</f>
        <v>x</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3.1432500000000001</v>
      </c>
      <c r="F33" s="709" t="str">
        <f>+IF(AND(OR(ISNUMBER('Plánová kalkulace'!F55),ISNUMBER('Plánová kalkulace'!F56),ISNUMBER('Plánová kalkulace'!F57),'Plánová kalkulace'!F58&lt;&gt;0),'Plánová kalkulace'!F103&lt;&gt;0),'Plánová kalkulace'!F54/'Plánová kalkulace'!F103,"x")</f>
        <v>x</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10.625</v>
      </c>
      <c r="F34" s="709" t="str">
        <f>+IF(AND(OR(ISNUMBER('Plánová kalkulace'!F60),ISNUMBER('Plánová kalkulace'!F61),ISNUMBER('Plánová kalkulace'!F62)),'Plánová kalkulace'!F103&lt;&gt;0),'Plánová kalkulace'!F59/'Plánová kalkulace'!F103,"x")</f>
        <v>x</v>
      </c>
      <c r="G34" s="107"/>
    </row>
    <row r="35" spans="1:8" ht="27.95" customHeight="1" x14ac:dyDescent="0.3">
      <c r="A35" s="6"/>
      <c r="B35" s="655" t="s">
        <v>47</v>
      </c>
      <c r="C35" s="62" t="s">
        <v>48</v>
      </c>
      <c r="D35" s="300" t="s">
        <v>471</v>
      </c>
      <c r="E35" s="703">
        <f>+IF(AND(ISNUMBER('Plánová kalkulace'!E63),'Plánová kalkulace'!E103&lt;&gt;0),'Plánová kalkulace'!E63/'Plánová kalkulace'!E103,"x")</f>
        <v>0</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f>+IF(AND(ISNUMBER('Plánová kalkulace'!E64),'Plánová kalkulace'!E103&lt;&gt;0),'Plánová kalkulace'!E64/'Plánová kalkulace'!E103,"x")</f>
        <v>0</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f>+IF(AND(ISNUMBER('Plánová kalkulace'!E65),'Plánová kalkulace'!E103&lt;&gt;0),'Plánová kalkulace'!E65/'Plánová kalkulace'!E103,"x")</f>
        <v>0</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f>+IF(AND(ISNUMBER('Plánová kalkulace'!E66),'Plánová kalkulace'!E103&lt;&gt;0),'Plánová kalkulace'!E66/'Plánová kalkulace'!E103,"x")</f>
        <v>0</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654</v>
      </c>
      <c r="E39" s="707">
        <f>+IF(AND('Plánová kalkulace'!E68&lt;&gt;0,'Plánová kalkulace'!E103&lt;&gt;0),'Plánová kalkulace'!E93,"x")</f>
        <v>18.701000000000001</v>
      </c>
      <c r="F39" s="710" t="str">
        <f>+IF(AND('Plánová kalkulace'!F68&lt;&gt;0,'Plánová kalkulace'!F103&lt;&gt;0),'Plánová kalkulace'!F93,"x")</f>
        <v>x</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-3.3936249999999997</v>
      </c>
      <c r="F40" s="704" t="str">
        <f>+IF(AND(OR(ISNUMBER('Plánová kalkulace'!F95),ISNUMBER('Plánová kalkulace'!F96)),'Plánová kalkulace'!F103&lt;&gt;0),'Plánová kalkulace'!F94/'Plánová kalkulace'!F103,"x")</f>
        <v>x</v>
      </c>
      <c r="G40" s="107"/>
    </row>
    <row r="41" spans="1:8" ht="28.5" x14ac:dyDescent="0.3">
      <c r="A41" s="6"/>
      <c r="B41" s="605" t="s">
        <v>193</v>
      </c>
      <c r="C41" s="62" t="s">
        <v>623</v>
      </c>
      <c r="D41" s="300" t="s">
        <v>471</v>
      </c>
      <c r="E41" s="703">
        <f>+IF(AND(ISNUMBER('Plánová kalkulace'!E95),'Plánová kalkulace'!E103&lt;&gt;0),'Plánová kalkulace'!E95/'Plánová kalkulace'!E103,"x")</f>
        <v>-3.3936249999999997</v>
      </c>
      <c r="F41" s="704" t="str">
        <f>+IF(AND(ISNUMBER('Plánová kalkulace'!F95),'Plánová kalkulace'!F103&lt;&gt;0),'Plánová kalkulace'!F95/'Plánová kalkulace'!F103,"x")</f>
        <v>x</v>
      </c>
      <c r="G41" s="107"/>
    </row>
    <row r="42" spans="1:8" ht="28.5" x14ac:dyDescent="0.3">
      <c r="A42" s="6"/>
      <c r="B42" s="605" t="s">
        <v>194</v>
      </c>
      <c r="C42" s="62" t="s">
        <v>624</v>
      </c>
      <c r="D42" s="300" t="s">
        <v>471</v>
      </c>
      <c r="E42" s="703">
        <f>+IF(AND(ISNUMBER('Plánová kalkulace'!E96),'Plánová kalkulace'!E103&lt;&gt;0),'Plánová kalkulace'!E96/'Plánová kalkulace'!E103,"x")</f>
        <v>0</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654</v>
      </c>
      <c r="E43" s="707">
        <f>+IF(AND(ISNUMBER('Plánová kalkulace'!E98),'Plánová kalkulace'!E103&lt;&gt;0),'Plánová kalkulace'!E98/'Plánová kalkulace'!E103,"x")</f>
        <v>7.91</v>
      </c>
      <c r="F43" s="710" t="str">
        <f>+IF(AND(ISNUMBER('Plánová kalkulace'!F98),'Plánová kalkulace'!F103&lt;&gt;0),'Plánová kalkulace'!F98/'Plánová kalkulace'!F103,"x")</f>
        <v>x</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0</v>
      </c>
      <c r="F44" s="704" t="str">
        <f>+IF(AND(ISNUMBER('Plánová kalkulace'!F98),'Plánová kalkulace'!F103&lt;&gt;0),'Plánová kalkulace'!F100/'Plánová kalkulace'!F103,IF(ISBLANK('Plánová kalkulace'!F98),"x","x"))</f>
        <v>x</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7.91</v>
      </c>
      <c r="F45" s="704" t="str">
        <f>+IF(AND(ISNUMBER('Plánová kalkulace'!F98),'Plánová kalkulace'!F103&lt;&gt;0),'Plánová kalkulace'!F101/'Plánová kalkulace'!F103,IF(ISBLANK('Plánová kalkulace'!F98),"x","x"))</f>
        <v>x</v>
      </c>
      <c r="G45" s="107"/>
    </row>
    <row r="46" spans="1:8" ht="27.95" customHeight="1" x14ac:dyDescent="0.3">
      <c r="A46" s="6"/>
      <c r="B46" s="662" t="s">
        <v>104</v>
      </c>
      <c r="C46" s="657" t="s">
        <v>622</v>
      </c>
      <c r="D46" s="687" t="s">
        <v>654</v>
      </c>
      <c r="E46" s="707">
        <f>+IF(AND('Plánová kalkulace'!E68&lt;&gt;0,'Plánová kalkulace'!E103&lt;&gt;0),'Plánová kalkulace'!E104,"x")</f>
        <v>23.21</v>
      </c>
      <c r="F46" s="710" t="str">
        <f>+IF(AND('Plánová kalkulace'!F68&lt;&gt;0,'Plánová kalkulace'!F103&lt;&gt;0),'Plánová kalkulace'!F104,"x")</f>
        <v>x</v>
      </c>
      <c r="G46" s="107"/>
    </row>
    <row r="47" spans="1:8" ht="27.95" customHeight="1" thickBot="1" x14ac:dyDescent="0.35">
      <c r="A47" s="6"/>
      <c r="B47" s="671" t="s">
        <v>107</v>
      </c>
      <c r="C47" s="672" t="s">
        <v>108</v>
      </c>
      <c r="D47" s="688" t="s">
        <v>654</v>
      </c>
      <c r="E47" s="701">
        <f>+IF(AND('Plánová kalkulace'!E104&lt;&gt;0,ISNUMBER('Plánová kalkulace'!E105)),'Plánová kalkulace'!E105,"x")</f>
        <v>26</v>
      </c>
      <c r="F47" s="702" t="str">
        <f>+IF(ISNUMBER('Plánová kalkulace'!F105),'Plánová kalkulace'!F105,"x")</f>
        <v>x</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635</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v>23.21</v>
      </c>
      <c r="F57" s="693"/>
      <c r="G57" s="698"/>
      <c r="H57" s="114"/>
    </row>
    <row r="58" spans="1:8" ht="27.95" customHeight="1" thickBot="1" x14ac:dyDescent="0.35">
      <c r="A58" s="6"/>
      <c r="B58" s="57"/>
      <c r="C58" s="668" t="s">
        <v>629</v>
      </c>
      <c r="D58" s="691" t="s">
        <v>471</v>
      </c>
      <c r="E58" s="694">
        <v>26</v>
      </c>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Ing. Dana Plháková - Regarding Water</v>
      </c>
      <c r="E61" s="950"/>
      <c r="F61" s="951"/>
      <c r="G61" s="536"/>
      <c r="H61" s="331"/>
    </row>
    <row r="62" spans="1:8" s="4" customFormat="1" ht="15" customHeight="1" x14ac:dyDescent="0.3">
      <c r="A62" s="7"/>
      <c r="B62" s="736" t="s">
        <v>122</v>
      </c>
      <c r="C62" s="736"/>
      <c r="D62" s="933">
        <f>+IF('Plánová kalkulace'!D192:F192&lt;&gt;0,'Plánová kalkulace'!D192:F192,"  ")</f>
        <v>602184739</v>
      </c>
      <c r="E62" s="934"/>
      <c r="F62" s="935"/>
      <c r="G62" s="536"/>
      <c r="H62" s="331"/>
    </row>
    <row r="63" spans="1:8" s="4" customFormat="1" ht="15" customHeight="1" x14ac:dyDescent="0.3">
      <c r="A63" s="7"/>
      <c r="B63" s="736" t="s">
        <v>429</v>
      </c>
      <c r="C63" s="736"/>
      <c r="D63" s="933" t="str">
        <f>+IF('Plánová kalkulace'!D193:F193&lt;&gt;0,'Plánová kalkulace'!D193:F193,"  ")</f>
        <v>DanaLet@seznam.cz</v>
      </c>
      <c r="E63" s="934"/>
      <c r="F63" s="935"/>
      <c r="G63" s="536"/>
      <c r="H63" s="331"/>
    </row>
    <row r="64" spans="1:8" s="4" customFormat="1" ht="15" customHeight="1" thickBot="1" x14ac:dyDescent="0.35">
      <c r="A64" s="7"/>
      <c r="B64" s="736" t="s">
        <v>123</v>
      </c>
      <c r="C64" s="736"/>
      <c r="D64" s="945">
        <v>45657</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55" workbookViewId="0">
      <selection activeCell="B64" sqref="B64:E64"/>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Dana Plhakova</dc:creator>
  <cp:keywords>MF;voda;kalkulace;2025</cp:keywords>
  <dc:description/>
  <cp:lastModifiedBy>Dana Plhakova</cp:lastModifiedBy>
  <dcterms:created xsi:type="dcterms:W3CDTF">2021-06-07T16:44:23Z</dcterms:created>
  <dcterms:modified xsi:type="dcterms:W3CDTF">2025-04-07T15:46:15Z</dcterms:modified>
  <cp:category/>
  <cp:contentStatus/>
</cp:coreProperties>
</file>